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208" windowHeight="5940" activeTab="0"/>
  </bookViews>
  <sheets>
    <sheet name="Team Results - 201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<sst xmlns="http://schemas.openxmlformats.org/spreadsheetml/2006/main" count="138" uniqueCount="68">
  <si>
    <t>GIRLS DIVISION</t>
  </si>
  <si>
    <t>SCHOOL</t>
  </si>
  <si>
    <t>Gm 1</t>
  </si>
  <si>
    <t>Gm 2</t>
  </si>
  <si>
    <t>Gm 3</t>
  </si>
  <si>
    <t>Baker 1</t>
  </si>
  <si>
    <t>Baker 2</t>
  </si>
  <si>
    <t>Totals</t>
  </si>
  <si>
    <t>ANNAPOLIS</t>
  </si>
  <si>
    <t>BELLEVILLE</t>
  </si>
  <si>
    <t>VARSITY GIRLS</t>
  </si>
  <si>
    <t>CANTON</t>
  </si>
  <si>
    <t>CRESTWOOD</t>
  </si>
  <si>
    <t>DIVINE CHILD</t>
  </si>
  <si>
    <t>FLAT ROCK</t>
  </si>
  <si>
    <t>JOHN GLENN</t>
  </si>
  <si>
    <t xml:space="preserve">RUNNER UP: </t>
  </si>
  <si>
    <t>KENNEDY</t>
  </si>
  <si>
    <t>LADYWOOD</t>
  </si>
  <si>
    <t>NORTHVILLE</t>
  </si>
  <si>
    <t>PLYMOUTH</t>
  </si>
  <si>
    <t>SALEM</t>
  </si>
  <si>
    <t>WAYNE MEMORIAL</t>
  </si>
  <si>
    <t>WOODHAVEN</t>
  </si>
  <si>
    <t>JV GIRLS DIVISION</t>
  </si>
  <si>
    <t>High Game</t>
  </si>
  <si>
    <t xml:space="preserve">RUNNER UP:  </t>
  </si>
  <si>
    <t>JV BOYS DIVISION</t>
  </si>
  <si>
    <t>High Series</t>
  </si>
  <si>
    <t xml:space="preserve">JV BOYS  </t>
  </si>
  <si>
    <t xml:space="preserve">JV GIRLS </t>
  </si>
  <si>
    <t>TOURNAMENT CHAMPIONS:</t>
  </si>
  <si>
    <t>VARSITY BOYS</t>
  </si>
  <si>
    <t>GABRIEL RICHARD</t>
  </si>
  <si>
    <t>HURON</t>
  </si>
  <si>
    <t>U OF D JESUIT</t>
  </si>
  <si>
    <t>ROMULUS</t>
  </si>
  <si>
    <r>
      <t>High Series</t>
    </r>
    <r>
      <rPr>
        <b/>
        <sz val="12"/>
        <rFont val="Arial"/>
        <family val="2"/>
      </rPr>
      <t xml:space="preserve"> </t>
    </r>
  </si>
  <si>
    <t>9TH ANNUAL WAYNE COUNTY TOURNAMENT</t>
  </si>
  <si>
    <t>1/18/2014 - VARSITY BOYS</t>
  </si>
  <si>
    <t>CABRINI</t>
  </si>
  <si>
    <t>HURON - RED</t>
  </si>
  <si>
    <t>HURON - WHITE</t>
  </si>
  <si>
    <t>WYANDOTTE - A</t>
  </si>
  <si>
    <t>WYANDOTTE -B</t>
  </si>
  <si>
    <t xml:space="preserve">HURON </t>
  </si>
  <si>
    <t>18/</t>
  </si>
  <si>
    <t>Austin Kraemer</t>
  </si>
  <si>
    <t>Cory Coffey</t>
  </si>
  <si>
    <t>Gabriel Richard</t>
  </si>
  <si>
    <t>Wyandotte</t>
  </si>
  <si>
    <t>Nolan Rudis</t>
  </si>
  <si>
    <t>Salem</t>
  </si>
  <si>
    <t>Jackson Phillips</t>
  </si>
  <si>
    <t>Belleville</t>
  </si>
  <si>
    <t>Chris Delong</t>
  </si>
  <si>
    <t>Kennedy</t>
  </si>
  <si>
    <t>Nick Blain</t>
  </si>
  <si>
    <t>Canton</t>
  </si>
  <si>
    <t>Julia Huren</t>
  </si>
  <si>
    <t>Serena Belanger</t>
  </si>
  <si>
    <t>John Glenn</t>
  </si>
  <si>
    <t>Woodhaven</t>
  </si>
  <si>
    <t>Olivia Cabildo</t>
  </si>
  <si>
    <t>Meghan McCunovich</t>
  </si>
  <si>
    <t>Ashliegh Apel</t>
  </si>
  <si>
    <t>Huron</t>
  </si>
  <si>
    <t>Shivani Patel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</si>
</sst>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1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3.421875" style="1" customWidth="1"/>
    <col min="2" max="2" width="20.00390625" style="0" customWidth="1"/>
    <col min="3" max="8" width="8.7109375" style="0" customWidth="1"/>
    <col min="9" max="9" width="9.421875" style="0" customWidth="1"/>
    <col min="10" max="10" width="8.00390625" style="0" customWidth="1"/>
  </cols>
  <sheetData>
    <row r="1" spans="2:9" ht="15">
      <c r="B1" s="57" t="s">
        <v>38</v>
      </c>
      <c r="C1" s="57"/>
      <c r="D1" s="57"/>
      <c r="E1" s="57"/>
      <c r="F1" s="57"/>
      <c r="G1" s="57"/>
      <c r="H1" s="57"/>
      <c r="I1" s="2"/>
    </row>
    <row r="2" spans="2:9" ht="12.75" customHeight="1">
      <c r="B2" s="58">
        <v>41657</v>
      </c>
      <c r="C2" s="58"/>
      <c r="D2" s="58"/>
      <c r="E2" s="58"/>
      <c r="F2" s="58"/>
      <c r="G2" s="58"/>
      <c r="H2" s="58"/>
      <c r="I2" s="3"/>
    </row>
    <row r="3" spans="2:9" ht="12.75" customHeight="1">
      <c r="B3" s="46"/>
      <c r="C3" s="46"/>
      <c r="D3" s="46"/>
      <c r="E3" s="46"/>
      <c r="F3" s="46"/>
      <c r="G3" s="46"/>
      <c r="H3" s="46"/>
      <c r="I3" s="3"/>
    </row>
    <row r="4" spans="2:9" ht="13.5" customHeight="1">
      <c r="B4" s="57" t="s">
        <v>0</v>
      </c>
      <c r="C4" s="57"/>
      <c r="D4" s="57"/>
      <c r="E4" s="57"/>
      <c r="F4" s="57"/>
      <c r="G4" s="57"/>
      <c r="H4" s="57"/>
      <c r="I4" s="2"/>
    </row>
    <row r="5" spans="2:8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6" t="s">
        <v>7</v>
      </c>
    </row>
    <row r="6" spans="1:8" ht="15" customHeight="1">
      <c r="A6" s="7">
        <v>1</v>
      </c>
      <c r="B6" s="19" t="s">
        <v>15</v>
      </c>
      <c r="C6" s="8">
        <f>191+202+170+234+225</f>
        <v>1022</v>
      </c>
      <c r="D6" s="8">
        <f>181+188+198+226+277</f>
        <v>1070</v>
      </c>
      <c r="E6" s="8">
        <f>150+197+132+147+217</f>
        <v>843</v>
      </c>
      <c r="F6" s="8">
        <f>179+190</f>
        <v>369</v>
      </c>
      <c r="G6" s="8">
        <f>147+159</f>
        <v>306</v>
      </c>
      <c r="H6" s="8">
        <f aca="true" t="shared" si="0" ref="H6:H23">SUM(C6:G6)</f>
        <v>3610</v>
      </c>
    </row>
    <row r="7" spans="1:11" ht="15" customHeight="1">
      <c r="A7" s="7">
        <v>2</v>
      </c>
      <c r="B7" s="8" t="s">
        <v>17</v>
      </c>
      <c r="C7" s="8">
        <f>180+183+169+225+168</f>
        <v>925</v>
      </c>
      <c r="D7" s="8">
        <f>150+173+147+159+125</f>
        <v>754</v>
      </c>
      <c r="E7" s="8">
        <f>213+200+154+224+122</f>
        <v>913</v>
      </c>
      <c r="F7" s="8">
        <f>192+242</f>
        <v>434</v>
      </c>
      <c r="G7" s="8">
        <f>149+211</f>
        <v>360</v>
      </c>
      <c r="H7" s="8">
        <f t="shared" si="0"/>
        <v>3386</v>
      </c>
      <c r="K7" s="26" t="s">
        <v>10</v>
      </c>
    </row>
    <row r="8" spans="1:11" ht="15" customHeight="1">
      <c r="A8" s="7">
        <v>3</v>
      </c>
      <c r="B8" s="8" t="s">
        <v>9</v>
      </c>
      <c r="C8" s="8">
        <f>180+169+207+158+127</f>
        <v>841</v>
      </c>
      <c r="D8" s="8">
        <f>187+148+170+152+185</f>
        <v>842</v>
      </c>
      <c r="E8" s="8">
        <f>183+226+177+179+191</f>
        <v>956</v>
      </c>
      <c r="F8" s="8">
        <f>175+192</f>
        <v>367</v>
      </c>
      <c r="G8" s="8">
        <f>201+172</f>
        <v>373</v>
      </c>
      <c r="H8" s="8">
        <f t="shared" si="0"/>
        <v>3379</v>
      </c>
      <c r="K8" s="26"/>
    </row>
    <row r="9" spans="1:10" ht="15" customHeight="1">
      <c r="A9" s="7">
        <v>4</v>
      </c>
      <c r="B9" s="8" t="s">
        <v>22</v>
      </c>
      <c r="C9" s="19">
        <f>134+155+169+156+147</f>
        <v>761</v>
      </c>
      <c r="D9" s="19">
        <f>178+193+180+180+161</f>
        <v>892</v>
      </c>
      <c r="E9" s="8">
        <f>154+157+188+165+110</f>
        <v>774</v>
      </c>
      <c r="F9" s="8">
        <f>150+148</f>
        <v>298</v>
      </c>
      <c r="G9" s="8">
        <f>155+211</f>
        <v>366</v>
      </c>
      <c r="H9" s="8">
        <f t="shared" si="0"/>
        <v>3091</v>
      </c>
      <c r="J9" s="9"/>
    </row>
    <row r="10" spans="1:11" ht="15" customHeight="1">
      <c r="A10" s="7">
        <v>5</v>
      </c>
      <c r="B10" s="8" t="s">
        <v>23</v>
      </c>
      <c r="C10" s="8">
        <f>149+148+159+187+246</f>
        <v>889</v>
      </c>
      <c r="D10" s="8">
        <f>144+170+201+133+126</f>
        <v>774</v>
      </c>
      <c r="E10" s="8">
        <f>140+142+140+195+178</f>
        <v>795</v>
      </c>
      <c r="F10" s="8">
        <f>157+133</f>
        <v>290</v>
      </c>
      <c r="G10" s="8">
        <f>138+182</f>
        <v>320</v>
      </c>
      <c r="H10" s="8">
        <f t="shared" si="0"/>
        <v>3068</v>
      </c>
      <c r="K10" s="24" t="s">
        <v>31</v>
      </c>
    </row>
    <row r="11" spans="1:8" ht="15" customHeight="1">
      <c r="A11" s="7">
        <v>6</v>
      </c>
      <c r="B11" s="8" t="s">
        <v>14</v>
      </c>
      <c r="C11" s="8">
        <f>189+129+136+202+194</f>
        <v>850</v>
      </c>
      <c r="D11" s="8">
        <f>188+147+147+158+161</f>
        <v>801</v>
      </c>
      <c r="E11" s="8">
        <f>144+150+179+131+177</f>
        <v>781</v>
      </c>
      <c r="F11" s="8">
        <f>173+177</f>
        <v>350</v>
      </c>
      <c r="G11" s="8">
        <f>140+128</f>
        <v>268</v>
      </c>
      <c r="H11" s="8">
        <f t="shared" si="0"/>
        <v>3050</v>
      </c>
    </row>
    <row r="12" spans="1:15" ht="15" customHeight="1">
      <c r="A12" s="7">
        <v>7</v>
      </c>
      <c r="B12" s="19" t="s">
        <v>34</v>
      </c>
      <c r="C12" s="29">
        <f>189+192+164+161+100</f>
        <v>806</v>
      </c>
      <c r="D12" s="8">
        <f>194+159+190+126+115</f>
        <v>784</v>
      </c>
      <c r="E12" s="8">
        <f>172+156+174+136+124</f>
        <v>762</v>
      </c>
      <c r="F12" s="8">
        <f>160+159</f>
        <v>319</v>
      </c>
      <c r="G12" s="8">
        <f>181+180</f>
        <v>361</v>
      </c>
      <c r="H12" s="8">
        <f t="shared" si="0"/>
        <v>3032</v>
      </c>
      <c r="K12" s="56" t="s">
        <v>17</v>
      </c>
      <c r="O12" s="10"/>
    </row>
    <row r="13" spans="1:8" ht="15" customHeight="1">
      <c r="A13" s="7">
        <v>8</v>
      </c>
      <c r="B13" s="8" t="s">
        <v>11</v>
      </c>
      <c r="C13" s="8">
        <f>148+132+210+106+120</f>
        <v>716</v>
      </c>
      <c r="D13" s="8">
        <f>144+147+191+149+104</f>
        <v>735</v>
      </c>
      <c r="E13" s="8">
        <f>185+122+213+134+103</f>
        <v>757</v>
      </c>
      <c r="F13" s="8">
        <f>194+193</f>
        <v>387</v>
      </c>
      <c r="G13" s="8">
        <f>153+139</f>
        <v>292</v>
      </c>
      <c r="H13" s="8">
        <f t="shared" si="0"/>
        <v>2887</v>
      </c>
    </row>
    <row r="14" spans="1:12" ht="15" customHeight="1">
      <c r="A14" s="7">
        <v>9</v>
      </c>
      <c r="B14" s="19" t="s">
        <v>40</v>
      </c>
      <c r="C14" s="8">
        <f>155+147+125+148+153</f>
        <v>728</v>
      </c>
      <c r="D14" s="8">
        <f>164+125+146+169+133</f>
        <v>737</v>
      </c>
      <c r="E14" s="8">
        <f>172+141+124+148+158</f>
        <v>743</v>
      </c>
      <c r="F14" s="8">
        <f>135+137</f>
        <v>272</v>
      </c>
      <c r="G14" s="8">
        <f>154+124</f>
        <v>278</v>
      </c>
      <c r="H14" s="8">
        <f t="shared" si="0"/>
        <v>2758</v>
      </c>
      <c r="J14" s="9" t="s">
        <v>16</v>
      </c>
      <c r="L14" s="24"/>
    </row>
    <row r="15" spans="1:8" ht="15" customHeight="1">
      <c r="A15" s="7">
        <v>10</v>
      </c>
      <c r="B15" s="8" t="s">
        <v>21</v>
      </c>
      <c r="C15" s="8">
        <f>185+104+149+176+163</f>
        <v>777</v>
      </c>
      <c r="D15" s="8">
        <f>178+94+145+138+205</f>
        <v>760</v>
      </c>
      <c r="E15" s="8">
        <f>138+116+131+148+159</f>
        <v>692</v>
      </c>
      <c r="F15" s="8">
        <f>116+141</f>
        <v>257</v>
      </c>
      <c r="G15" s="8">
        <f>110+127</f>
        <v>237</v>
      </c>
      <c r="H15" s="8">
        <f t="shared" si="0"/>
        <v>2723</v>
      </c>
    </row>
    <row r="16" spans="1:11" ht="15" customHeight="1">
      <c r="A16" s="7">
        <v>11</v>
      </c>
      <c r="B16" s="8" t="s">
        <v>19</v>
      </c>
      <c r="C16" s="8">
        <f>145+126+160+148+94</f>
        <v>673</v>
      </c>
      <c r="D16" s="8">
        <f>129+155+147+155+145</f>
        <v>731</v>
      </c>
      <c r="E16" s="8">
        <f>152+190+159+179+94</f>
        <v>774</v>
      </c>
      <c r="F16" s="8">
        <f>145+127</f>
        <v>272</v>
      </c>
      <c r="G16" s="8">
        <f>122+132</f>
        <v>254</v>
      </c>
      <c r="H16" s="8">
        <f t="shared" si="0"/>
        <v>2704</v>
      </c>
      <c r="K16" s="56" t="s">
        <v>15</v>
      </c>
    </row>
    <row r="17" spans="1:8" ht="15" customHeight="1">
      <c r="A17" s="7">
        <v>12</v>
      </c>
      <c r="B17" s="8" t="s">
        <v>8</v>
      </c>
      <c r="C17" s="8">
        <f>149+169+145+114+206</f>
        <v>783</v>
      </c>
      <c r="D17" s="8">
        <f>140+152+96+98+183</f>
        <v>669</v>
      </c>
      <c r="E17" s="8">
        <f>122+132+138+191+76</f>
        <v>659</v>
      </c>
      <c r="F17" s="8">
        <f>137+122</f>
        <v>259</v>
      </c>
      <c r="G17" s="8">
        <f>125+145</f>
        <v>270</v>
      </c>
      <c r="H17" s="8">
        <f t="shared" si="0"/>
        <v>2640</v>
      </c>
    </row>
    <row r="18" spans="1:8" ht="15" customHeight="1">
      <c r="A18" s="7">
        <v>13</v>
      </c>
      <c r="B18" s="19" t="s">
        <v>36</v>
      </c>
      <c r="C18" s="29">
        <f>101+106+150+170+133</f>
        <v>660</v>
      </c>
      <c r="D18" s="8">
        <f>97+120+146+154+161</f>
        <v>678</v>
      </c>
      <c r="E18" s="8">
        <f>172+113+150+137+145</f>
        <v>717</v>
      </c>
      <c r="F18" s="8">
        <f>148+153</f>
        <v>301</v>
      </c>
      <c r="G18" s="8">
        <f>113+151</f>
        <v>264</v>
      </c>
      <c r="H18" s="8">
        <f t="shared" si="0"/>
        <v>2620</v>
      </c>
    </row>
    <row r="19" spans="1:8" ht="15" customHeight="1">
      <c r="A19" s="7">
        <v>14</v>
      </c>
      <c r="B19" s="8" t="s">
        <v>18</v>
      </c>
      <c r="C19" s="8">
        <f>142+86+170+121+141</f>
        <v>660</v>
      </c>
      <c r="D19" s="19">
        <f>127+85+123+155+201</f>
        <v>691</v>
      </c>
      <c r="E19" s="8">
        <f>126+159+75+143+169</f>
        <v>672</v>
      </c>
      <c r="F19" s="8">
        <f>84+163</f>
        <v>247</v>
      </c>
      <c r="G19" s="8">
        <f>119+129</f>
        <v>248</v>
      </c>
      <c r="H19" s="8">
        <f t="shared" si="0"/>
        <v>2518</v>
      </c>
    </row>
    <row r="20" spans="1:8" ht="15" customHeight="1">
      <c r="A20" s="7">
        <v>15</v>
      </c>
      <c r="B20" s="8" t="s">
        <v>12</v>
      </c>
      <c r="C20" s="19">
        <f>128+157+94+128+130</f>
        <v>637</v>
      </c>
      <c r="D20" s="8">
        <f>146+146+79+127+147</f>
        <v>645</v>
      </c>
      <c r="E20" s="8">
        <f>110+126+102+107+150</f>
        <v>595</v>
      </c>
      <c r="F20" s="8">
        <f>93+115</f>
        <v>208</v>
      </c>
      <c r="G20" s="8">
        <f>148+135</f>
        <v>283</v>
      </c>
      <c r="H20" s="8">
        <f t="shared" si="0"/>
        <v>2368</v>
      </c>
    </row>
    <row r="21" spans="1:8" ht="12.75">
      <c r="A21" s="7">
        <v>16</v>
      </c>
      <c r="B21" s="8" t="s">
        <v>20</v>
      </c>
      <c r="C21" s="8">
        <f>107+104+110+149+157</f>
        <v>627</v>
      </c>
      <c r="D21" s="8">
        <f>155+84+80+126+117</f>
        <v>562</v>
      </c>
      <c r="E21" s="8">
        <f>148+137+155+89+148</f>
        <v>677</v>
      </c>
      <c r="F21" s="8">
        <f>121+116</f>
        <v>237</v>
      </c>
      <c r="G21" s="8">
        <f>114+81</f>
        <v>195</v>
      </c>
      <c r="H21" s="8">
        <f t="shared" si="0"/>
        <v>2298</v>
      </c>
    </row>
    <row r="22" spans="1:8" ht="15.75" customHeight="1">
      <c r="A22" s="7">
        <v>17</v>
      </c>
      <c r="B22" s="19" t="s">
        <v>33</v>
      </c>
      <c r="C22" s="8">
        <f>143+116+113+88+122</f>
        <v>582</v>
      </c>
      <c r="D22" s="19">
        <f>130+74+157+101+108</f>
        <v>570</v>
      </c>
      <c r="E22" s="19">
        <f>107+142+98+112+85</f>
        <v>544</v>
      </c>
      <c r="F22" s="8">
        <f>116+101</f>
        <v>217</v>
      </c>
      <c r="G22" s="8">
        <f>122+102</f>
        <v>224</v>
      </c>
      <c r="H22" s="8">
        <f t="shared" si="0"/>
        <v>2137</v>
      </c>
    </row>
    <row r="23" spans="1:10" ht="12.75" customHeight="1">
      <c r="A23" s="7" t="s">
        <v>46</v>
      </c>
      <c r="B23" s="8" t="s">
        <v>13</v>
      </c>
      <c r="C23" s="8">
        <f>110+109+90+95+76</f>
        <v>480</v>
      </c>
      <c r="D23" s="8">
        <f>81+107+75+124+79</f>
        <v>466</v>
      </c>
      <c r="E23" s="8">
        <f>123+110+98+115+105</f>
        <v>551</v>
      </c>
      <c r="F23" s="8">
        <f>93+74</f>
        <v>167</v>
      </c>
      <c r="G23" s="8">
        <f>70+102</f>
        <v>172</v>
      </c>
      <c r="H23" s="8">
        <f t="shared" si="0"/>
        <v>1836</v>
      </c>
      <c r="J23" s="22"/>
    </row>
    <row r="24" spans="1:10" ht="12.75" customHeight="1">
      <c r="A24" s="11"/>
      <c r="B24" s="13" t="s">
        <v>25</v>
      </c>
      <c r="C24" s="18"/>
      <c r="F24" s="13"/>
      <c r="G24" s="15" t="s">
        <v>28</v>
      </c>
      <c r="J24" s="22"/>
    </row>
    <row r="25" spans="1:11" ht="12.75" customHeight="1">
      <c r="A25" s="11"/>
      <c r="B25" s="20" t="s">
        <v>59</v>
      </c>
      <c r="C25" s="12" t="s">
        <v>61</v>
      </c>
      <c r="D25" s="28"/>
      <c r="E25" s="28">
        <v>277</v>
      </c>
      <c r="F25" s="30"/>
      <c r="G25" t="s">
        <v>59</v>
      </c>
      <c r="H25" s="34"/>
      <c r="I25" t="s">
        <v>61</v>
      </c>
      <c r="J25" s="12"/>
      <c r="K25">
        <v>719</v>
      </c>
    </row>
    <row r="26" spans="1:11" ht="12.75" customHeight="1">
      <c r="A26" s="11"/>
      <c r="B26" s="20" t="s">
        <v>60</v>
      </c>
      <c r="C26" s="31" t="s">
        <v>62</v>
      </c>
      <c r="D26" s="28"/>
      <c r="E26" s="28">
        <v>246</v>
      </c>
      <c r="F26" s="20"/>
      <c r="G26" t="s">
        <v>60</v>
      </c>
      <c r="H26" s="35"/>
      <c r="I26" t="s">
        <v>62</v>
      </c>
      <c r="J26" s="22"/>
      <c r="K26">
        <v>625</v>
      </c>
    </row>
    <row r="27" spans="1:11" ht="12.75" customHeight="1">
      <c r="A27" s="11"/>
      <c r="B27" s="20" t="s">
        <v>63</v>
      </c>
      <c r="C27" s="34" t="s">
        <v>61</v>
      </c>
      <c r="D27" s="28"/>
      <c r="E27" s="28">
        <v>234</v>
      </c>
      <c r="F27" s="12"/>
      <c r="G27" s="55" t="s">
        <v>64</v>
      </c>
      <c r="H27" s="12"/>
      <c r="I27" t="s">
        <v>58</v>
      </c>
      <c r="J27" s="22"/>
      <c r="K27">
        <v>614</v>
      </c>
    </row>
    <row r="28" spans="2:10" ht="12.75" customHeight="1">
      <c r="B28" s="20"/>
      <c r="C28" s="22"/>
      <c r="G28" s="20"/>
      <c r="H28" s="14"/>
      <c r="J28" s="12"/>
    </row>
    <row r="29" spans="3:10" ht="12.75" customHeight="1">
      <c r="C29" s="14"/>
      <c r="H29" s="14"/>
      <c r="J29" s="1"/>
    </row>
    <row r="30" spans="2:8" ht="13.5" customHeight="1">
      <c r="B30" s="57" t="s">
        <v>24</v>
      </c>
      <c r="C30" s="57"/>
      <c r="D30" s="57"/>
      <c r="E30" s="57"/>
      <c r="F30" s="57"/>
      <c r="G30" s="57"/>
      <c r="H30" s="57"/>
    </row>
    <row r="31" spans="2:11" ht="13.5" customHeight="1">
      <c r="B31" s="15" t="s">
        <v>1</v>
      </c>
      <c r="C31" s="16" t="s">
        <v>2</v>
      </c>
      <c r="D31" s="16" t="s">
        <v>3</v>
      </c>
      <c r="E31" s="16" t="s">
        <v>4</v>
      </c>
      <c r="F31" s="16" t="s">
        <v>5</v>
      </c>
      <c r="G31" s="16" t="s">
        <v>6</v>
      </c>
      <c r="H31" s="17" t="s">
        <v>7</v>
      </c>
      <c r="K31" s="52" t="s">
        <v>30</v>
      </c>
    </row>
    <row r="32" spans="1:8" ht="12.75" customHeight="1">
      <c r="A32" s="7">
        <v>1</v>
      </c>
      <c r="B32" s="19" t="s">
        <v>11</v>
      </c>
      <c r="C32" s="8">
        <f>85+107+111+178+119</f>
        <v>600</v>
      </c>
      <c r="D32" s="8">
        <f>103+109+132+99+179</f>
        <v>622</v>
      </c>
      <c r="E32" s="8">
        <f>120+102+143+129+108</f>
        <v>602</v>
      </c>
      <c r="F32" s="8">
        <f>110+122</f>
        <v>232</v>
      </c>
      <c r="G32" s="8">
        <f>145+86</f>
        <v>231</v>
      </c>
      <c r="H32" s="8">
        <f>SUM(C32:G32)</f>
        <v>2287</v>
      </c>
    </row>
    <row r="33" spans="1:10" ht="12.75" customHeight="1">
      <c r="A33" s="7">
        <v>2</v>
      </c>
      <c r="B33" s="19" t="s">
        <v>23</v>
      </c>
      <c r="C33" s="8">
        <f>114+121+119+70+141</f>
        <v>565</v>
      </c>
      <c r="D33" s="8">
        <f>116+101+93+106+101</f>
        <v>517</v>
      </c>
      <c r="E33" s="8">
        <f>103+98+138+107+122</f>
        <v>568</v>
      </c>
      <c r="F33" s="8">
        <f>158+122</f>
        <v>280</v>
      </c>
      <c r="G33" s="8">
        <f>88+188</f>
        <v>276</v>
      </c>
      <c r="H33" s="8">
        <f>SUM(C33:G33)</f>
        <v>2206</v>
      </c>
      <c r="J33" s="51" t="s">
        <v>31</v>
      </c>
    </row>
    <row r="34" spans="1:8" ht="12.75" customHeight="1">
      <c r="A34" s="7">
        <v>3</v>
      </c>
      <c r="B34" s="19" t="s">
        <v>34</v>
      </c>
      <c r="C34" s="8">
        <f>104+139+99+126+138</f>
        <v>606</v>
      </c>
      <c r="D34" s="8">
        <f>127+181+120+121</f>
        <v>549</v>
      </c>
      <c r="E34" s="8">
        <f>117+107+157+82+146</f>
        <v>609</v>
      </c>
      <c r="F34" s="8">
        <f>100+139</f>
        <v>239</v>
      </c>
      <c r="G34" s="8">
        <f>93+99</f>
        <v>192</v>
      </c>
      <c r="H34" s="8">
        <f>SUM(C34:G34)</f>
        <v>2195</v>
      </c>
    </row>
    <row r="35" spans="1:11" ht="15" customHeight="1">
      <c r="A35" s="7">
        <v>4</v>
      </c>
      <c r="B35" s="19" t="s">
        <v>19</v>
      </c>
      <c r="C35" s="8">
        <f>99+114+95+125+88</f>
        <v>521</v>
      </c>
      <c r="D35" s="8">
        <f>113+92+116+131+115</f>
        <v>567</v>
      </c>
      <c r="E35" s="8">
        <f>77+103+106+105+116</f>
        <v>507</v>
      </c>
      <c r="F35" s="8">
        <f>141+110</f>
        <v>251</v>
      </c>
      <c r="G35" s="8">
        <f>161+108</f>
        <v>269</v>
      </c>
      <c r="H35" s="8">
        <f>SUM(C35:G35)</f>
        <v>2115</v>
      </c>
      <c r="K35" s="56" t="s">
        <v>19</v>
      </c>
    </row>
    <row r="36" spans="1:12" ht="15" customHeight="1">
      <c r="A36" s="11"/>
      <c r="K36" s="33"/>
      <c r="L36" s="23"/>
    </row>
    <row r="37" spans="1:11" ht="15" customHeight="1">
      <c r="A37" s="11"/>
      <c r="B37" s="15" t="s">
        <v>25</v>
      </c>
      <c r="C37" s="18"/>
      <c r="F37" s="15" t="s">
        <v>37</v>
      </c>
      <c r="H37" s="12"/>
      <c r="K37" s="9"/>
    </row>
    <row r="38" spans="1:10" ht="15" customHeight="1">
      <c r="A38" s="11"/>
      <c r="B38" s="20" t="s">
        <v>67</v>
      </c>
      <c r="C38" s="21" t="s">
        <v>58</v>
      </c>
      <c r="D38" s="21">
        <v>179</v>
      </c>
      <c r="F38" s="21" t="s">
        <v>65</v>
      </c>
      <c r="G38" s="21"/>
      <c r="H38" s="12" t="s">
        <v>66</v>
      </c>
      <c r="I38">
        <v>441</v>
      </c>
      <c r="J38" s="21"/>
    </row>
    <row r="39" spans="1:10" ht="15" customHeight="1">
      <c r="A39" s="11"/>
      <c r="B39" s="20"/>
      <c r="C39" s="21"/>
      <c r="D39" s="21"/>
      <c r="F39" s="21"/>
      <c r="G39" s="21"/>
      <c r="H39" s="12"/>
      <c r="J39" s="21"/>
    </row>
    <row r="40" spans="1:10" ht="15" customHeight="1">
      <c r="A40" s="11"/>
      <c r="B40" s="20"/>
      <c r="C40" s="21"/>
      <c r="D40" s="21"/>
      <c r="F40" s="21"/>
      <c r="G40" s="21"/>
      <c r="H40" s="12"/>
      <c r="J40" s="21"/>
    </row>
    <row r="41" spans="1:10" ht="15" customHeight="1">
      <c r="A41" s="11"/>
      <c r="B41" s="30"/>
      <c r="C41" s="21"/>
      <c r="D41" s="21"/>
      <c r="E41" s="21"/>
      <c r="F41" s="21"/>
      <c r="G41" s="21"/>
      <c r="H41" s="12"/>
      <c r="J41" s="21"/>
    </row>
    <row r="42" spans="1:10" ht="15" customHeight="1">
      <c r="A42" s="11"/>
      <c r="B42" s="30"/>
      <c r="C42" s="21"/>
      <c r="D42" s="21"/>
      <c r="E42" s="21"/>
      <c r="F42" s="21"/>
      <c r="G42" s="21"/>
      <c r="H42" s="12"/>
      <c r="J42" s="21"/>
    </row>
    <row r="43" spans="1:10" ht="15" customHeight="1">
      <c r="A43" s="11"/>
      <c r="B43" s="30"/>
      <c r="C43" s="21"/>
      <c r="D43" s="21"/>
      <c r="E43" s="21"/>
      <c r="F43" s="21"/>
      <c r="G43" s="21"/>
      <c r="H43" s="12"/>
      <c r="J43" s="21"/>
    </row>
    <row r="44" spans="1:10" ht="12.75" customHeight="1">
      <c r="A44" s="22"/>
      <c r="B44" s="57" t="s">
        <v>38</v>
      </c>
      <c r="C44" s="57"/>
      <c r="D44" s="57"/>
      <c r="E44" s="57"/>
      <c r="F44" s="57"/>
      <c r="G44" s="57"/>
      <c r="H44" s="57"/>
      <c r="J44" s="9"/>
    </row>
    <row r="45" spans="1:10" ht="12.75" customHeight="1">
      <c r="A45" s="22"/>
      <c r="B45" s="58" t="s">
        <v>39</v>
      </c>
      <c r="C45" s="58"/>
      <c r="D45" s="58"/>
      <c r="E45" s="58"/>
      <c r="F45" s="58"/>
      <c r="G45" s="58"/>
      <c r="H45" s="58"/>
      <c r="J45" s="9"/>
    </row>
    <row r="46" spans="1:8" ht="12.75" customHeight="1">
      <c r="A46" s="22"/>
      <c r="B46" s="15" t="s">
        <v>1</v>
      </c>
      <c r="C46" s="16" t="s">
        <v>2</v>
      </c>
      <c r="D46" s="16" t="s">
        <v>3</v>
      </c>
      <c r="E46" s="16" t="s">
        <v>4</v>
      </c>
      <c r="F46" s="16" t="s">
        <v>5</v>
      </c>
      <c r="G46" s="16" t="s">
        <v>6</v>
      </c>
      <c r="H46" s="17" t="s">
        <v>7</v>
      </c>
    </row>
    <row r="47" spans="1:9" ht="12.75" customHeight="1">
      <c r="A47" s="7">
        <v>1</v>
      </c>
      <c r="B47" s="48" t="s">
        <v>11</v>
      </c>
      <c r="C47" s="37">
        <f>186+251+259+211+128</f>
        <v>1035</v>
      </c>
      <c r="D47" s="38">
        <f>227+256+184+235+227</f>
        <v>1129</v>
      </c>
      <c r="E47" s="39">
        <f>210+220+213+192+241</f>
        <v>1076</v>
      </c>
      <c r="F47" s="40">
        <f>191+267</f>
        <v>458</v>
      </c>
      <c r="G47" s="41">
        <f>147+179</f>
        <v>326</v>
      </c>
      <c r="H47" s="36">
        <f aca="true" t="shared" si="1" ref="H47:H67">SUM(C47:G47)</f>
        <v>4024</v>
      </c>
      <c r="I47" s="2"/>
    </row>
    <row r="48" spans="1:9" ht="12.75" customHeight="1">
      <c r="A48" s="7">
        <v>2</v>
      </c>
      <c r="B48" s="48" t="s">
        <v>9</v>
      </c>
      <c r="C48" s="36">
        <f>207+278+163+245+168</f>
        <v>1061</v>
      </c>
      <c r="D48" s="42">
        <f>203+234+222+202+222</f>
        <v>1083</v>
      </c>
      <c r="E48" s="42">
        <f>173+171+188+220+233</f>
        <v>985</v>
      </c>
      <c r="F48" s="42">
        <f>172+180</f>
        <v>352</v>
      </c>
      <c r="G48" s="42">
        <f>180+211</f>
        <v>391</v>
      </c>
      <c r="H48" s="36">
        <f t="shared" si="1"/>
        <v>3872</v>
      </c>
      <c r="I48" s="3"/>
    </row>
    <row r="49" spans="1:9" ht="12.75" customHeight="1">
      <c r="A49" s="7">
        <v>3</v>
      </c>
      <c r="B49" s="48" t="s">
        <v>33</v>
      </c>
      <c r="C49" s="36">
        <f>237+202+188+274+125</f>
        <v>1026</v>
      </c>
      <c r="D49" s="42">
        <f>203+246+209+199+300</f>
        <v>1157</v>
      </c>
      <c r="E49" s="42">
        <f>158+215+138+203+245</f>
        <v>959</v>
      </c>
      <c r="F49" s="42">
        <f>217+181</f>
        <v>398</v>
      </c>
      <c r="G49" s="42">
        <f>179+152</f>
        <v>331</v>
      </c>
      <c r="H49" s="36">
        <f t="shared" si="1"/>
        <v>3871</v>
      </c>
      <c r="I49" s="3"/>
    </row>
    <row r="50" spans="1:9" ht="12.75" customHeight="1">
      <c r="A50" s="7">
        <v>4</v>
      </c>
      <c r="B50" s="48" t="s">
        <v>21</v>
      </c>
      <c r="C50" s="36">
        <f>184+184+234+231+218</f>
        <v>1051</v>
      </c>
      <c r="D50" s="36">
        <f>184+219+203+208+199</f>
        <v>1013</v>
      </c>
      <c r="E50" s="36">
        <f>247+169+278+196+184</f>
        <v>1074</v>
      </c>
      <c r="F50" s="36">
        <f>206+178</f>
        <v>384</v>
      </c>
      <c r="G50" s="36">
        <f>167+158</f>
        <v>325</v>
      </c>
      <c r="H50" s="36">
        <f t="shared" si="1"/>
        <v>3847</v>
      </c>
      <c r="I50" s="2"/>
    </row>
    <row r="51" spans="1:8" ht="12.75" customHeight="1">
      <c r="A51" s="7">
        <v>5</v>
      </c>
      <c r="B51" s="50" t="s">
        <v>43</v>
      </c>
      <c r="C51" s="36">
        <f>214+175+248+181+152</f>
        <v>970</v>
      </c>
      <c r="D51" s="36">
        <f>159+244+212+242+159</f>
        <v>1016</v>
      </c>
      <c r="E51" s="36">
        <f>157+201+289+179+195</f>
        <v>1021</v>
      </c>
      <c r="F51" s="36">
        <f>217+220</f>
        <v>437</v>
      </c>
      <c r="G51" s="36">
        <f>179+179</f>
        <v>358</v>
      </c>
      <c r="H51" s="36">
        <f t="shared" si="1"/>
        <v>3802</v>
      </c>
    </row>
    <row r="52" spans="1:8" ht="12.75" customHeight="1">
      <c r="A52" s="7">
        <v>6</v>
      </c>
      <c r="B52" s="48" t="s">
        <v>17</v>
      </c>
      <c r="C52" s="36">
        <f>254+178+190+182+203</f>
        <v>1007</v>
      </c>
      <c r="D52" s="36">
        <f>234+202+203+190+180</f>
        <v>1009</v>
      </c>
      <c r="E52" s="36">
        <f>243+174+203+171+196</f>
        <v>987</v>
      </c>
      <c r="F52" s="36">
        <f>170+233</f>
        <v>403</v>
      </c>
      <c r="G52" s="36">
        <f>152+187</f>
        <v>339</v>
      </c>
      <c r="H52" s="36">
        <f t="shared" si="1"/>
        <v>3745</v>
      </c>
    </row>
    <row r="53" spans="1:11" ht="15.75" customHeight="1">
      <c r="A53" s="7">
        <v>7</v>
      </c>
      <c r="B53" s="48" t="s">
        <v>35</v>
      </c>
      <c r="C53" s="36">
        <f>182+190+148+161+154</f>
        <v>835</v>
      </c>
      <c r="D53" s="36">
        <f>212+192+174+226+161</f>
        <v>965</v>
      </c>
      <c r="E53" s="36">
        <f>191+208+216+177+237</f>
        <v>1029</v>
      </c>
      <c r="F53" s="36">
        <f>253+223</f>
        <v>476</v>
      </c>
      <c r="G53" s="36">
        <f>234+202</f>
        <v>436</v>
      </c>
      <c r="H53" s="36">
        <f t="shared" si="1"/>
        <v>3741</v>
      </c>
      <c r="K53" s="26" t="s">
        <v>32</v>
      </c>
    </row>
    <row r="54" spans="1:8" ht="12.75" customHeight="1">
      <c r="A54" s="7">
        <v>8</v>
      </c>
      <c r="B54" s="48" t="s">
        <v>8</v>
      </c>
      <c r="C54" s="36">
        <f>226+191+203+139+130</f>
        <v>889</v>
      </c>
      <c r="D54" s="36">
        <f>170+210+194+232+191</f>
        <v>997</v>
      </c>
      <c r="E54" s="36">
        <f>246+215+224+226+138</f>
        <v>1049</v>
      </c>
      <c r="F54" s="43">
        <f>164+244</f>
        <v>408</v>
      </c>
      <c r="G54" s="36">
        <f>182+198</f>
        <v>380</v>
      </c>
      <c r="H54" s="36">
        <f t="shared" si="1"/>
        <v>3723</v>
      </c>
    </row>
    <row r="55" spans="1:8" ht="12.75" customHeight="1">
      <c r="A55" s="7">
        <v>9</v>
      </c>
      <c r="B55" s="48" t="s">
        <v>15</v>
      </c>
      <c r="C55" s="36">
        <f>234+183+244+190+146</f>
        <v>997</v>
      </c>
      <c r="D55" s="36">
        <f>152+217+183+238+149</f>
        <v>939</v>
      </c>
      <c r="E55" s="37">
        <f>189+179+200+216+154</f>
        <v>938</v>
      </c>
      <c r="F55" s="44">
        <f>202+200</f>
        <v>402</v>
      </c>
      <c r="G55" s="45">
        <f>193+221</f>
        <v>414</v>
      </c>
      <c r="H55" s="36">
        <f t="shared" si="1"/>
        <v>3690</v>
      </c>
    </row>
    <row r="56" spans="1:11" ht="12.75" customHeight="1">
      <c r="A56" s="7">
        <v>10</v>
      </c>
      <c r="B56" s="50" t="s">
        <v>41</v>
      </c>
      <c r="C56" s="36">
        <f>188+212+182+196+166</f>
        <v>944</v>
      </c>
      <c r="D56" s="36">
        <f>191+178+209+221+221</f>
        <v>1020</v>
      </c>
      <c r="E56" s="37">
        <f>181+204+192+176+154</f>
        <v>907</v>
      </c>
      <c r="F56" s="44">
        <f>199+192</f>
        <v>391</v>
      </c>
      <c r="G56" s="45">
        <f>201+205</f>
        <v>406</v>
      </c>
      <c r="H56" s="36">
        <f t="shared" si="1"/>
        <v>3668</v>
      </c>
      <c r="J56" s="49" t="s">
        <v>31</v>
      </c>
      <c r="K56" s="18"/>
    </row>
    <row r="57" spans="1:8" ht="12.75" customHeight="1">
      <c r="A57" s="7">
        <v>11</v>
      </c>
      <c r="B57" s="48" t="s">
        <v>22</v>
      </c>
      <c r="C57" s="36">
        <f>223+204+183+183+194</f>
        <v>987</v>
      </c>
      <c r="D57" s="36">
        <f>203+194+187+196+162</f>
        <v>942</v>
      </c>
      <c r="E57" s="36">
        <f>202+214+171+208+226</f>
        <v>1021</v>
      </c>
      <c r="F57" s="42">
        <f>162+178</f>
        <v>340</v>
      </c>
      <c r="G57" s="36">
        <f>161+194</f>
        <v>355</v>
      </c>
      <c r="H57" s="36">
        <f t="shared" si="1"/>
        <v>3645</v>
      </c>
    </row>
    <row r="58" spans="1:11" ht="15" customHeight="1">
      <c r="A58" s="7">
        <v>12</v>
      </c>
      <c r="B58" s="48" t="s">
        <v>13</v>
      </c>
      <c r="C58" s="36">
        <f>258+226+178+181+148</f>
        <v>991</v>
      </c>
      <c r="D58" s="36">
        <f>201+165+183+187+190</f>
        <v>926</v>
      </c>
      <c r="E58" s="36">
        <f>225+199+200+158+170</f>
        <v>952</v>
      </c>
      <c r="F58" s="36">
        <f>179+235</f>
        <v>414</v>
      </c>
      <c r="G58" s="36">
        <f>178+182</f>
        <v>360</v>
      </c>
      <c r="H58" s="36">
        <f t="shared" si="1"/>
        <v>3643</v>
      </c>
      <c r="J58" s="56" t="s">
        <v>17</v>
      </c>
      <c r="K58" s="47"/>
    </row>
    <row r="59" spans="1:8" ht="12.75" customHeight="1">
      <c r="A59" s="7">
        <v>13</v>
      </c>
      <c r="B59" s="48" t="s">
        <v>14</v>
      </c>
      <c r="C59" s="36">
        <f>178+203+224+148+178</f>
        <v>931</v>
      </c>
      <c r="D59" s="36">
        <f>136+235+195+225+186</f>
        <v>977</v>
      </c>
      <c r="E59" s="36">
        <f>216+180+205+129+182</f>
        <v>912</v>
      </c>
      <c r="F59" s="21">
        <f>197+203</f>
        <v>400</v>
      </c>
      <c r="G59" s="36">
        <f>180+202</f>
        <v>382</v>
      </c>
      <c r="H59" s="36">
        <f t="shared" si="1"/>
        <v>3602</v>
      </c>
    </row>
    <row r="60" spans="1:12" ht="12.75" customHeight="1">
      <c r="A60" s="7">
        <v>14</v>
      </c>
      <c r="B60" s="50" t="s">
        <v>42</v>
      </c>
      <c r="C60" s="36">
        <f>223+163+141+229+212</f>
        <v>968</v>
      </c>
      <c r="D60" s="36">
        <f>175+259+178+154+211</f>
        <v>977</v>
      </c>
      <c r="E60" s="36">
        <f>218+180+142+166+168</f>
        <v>874</v>
      </c>
      <c r="F60" s="36">
        <f>165+187</f>
        <v>352</v>
      </c>
      <c r="G60" s="36">
        <f>122+199</f>
        <v>321</v>
      </c>
      <c r="H60" s="36">
        <f t="shared" si="1"/>
        <v>3492</v>
      </c>
      <c r="L60" s="9"/>
    </row>
    <row r="61" spans="1:8" ht="12.75" customHeight="1">
      <c r="A61" s="7">
        <v>15</v>
      </c>
      <c r="B61" s="50" t="s">
        <v>44</v>
      </c>
      <c r="C61" s="36">
        <f>161+138+173+181+234</f>
        <v>887</v>
      </c>
      <c r="D61" s="36">
        <f>199+221+151+187+204</f>
        <v>962</v>
      </c>
      <c r="E61" s="36">
        <f>225+165+181+142+145</f>
        <v>858</v>
      </c>
      <c r="F61" s="36">
        <f>157+216</f>
        <v>373</v>
      </c>
      <c r="G61" s="36">
        <f>143+177</f>
        <v>320</v>
      </c>
      <c r="H61" s="36">
        <f t="shared" si="1"/>
        <v>3400</v>
      </c>
    </row>
    <row r="62" spans="1:12" ht="12.75" customHeight="1">
      <c r="A62" s="7">
        <v>16</v>
      </c>
      <c r="B62" s="48" t="s">
        <v>36</v>
      </c>
      <c r="C62" s="36">
        <f>201+149+220+195+134</f>
        <v>899</v>
      </c>
      <c r="D62" s="36">
        <f>176+220+148+154+244</f>
        <v>942</v>
      </c>
      <c r="E62" s="36">
        <f>152+257+157+200+114</f>
        <v>880</v>
      </c>
      <c r="F62" s="36">
        <f>151+154</f>
        <v>305</v>
      </c>
      <c r="G62" s="36">
        <f>166+189</f>
        <v>355</v>
      </c>
      <c r="H62" s="36">
        <f t="shared" si="1"/>
        <v>3381</v>
      </c>
      <c r="J62" s="9" t="s">
        <v>26</v>
      </c>
      <c r="L62" s="24"/>
    </row>
    <row r="63" spans="1:8" ht="12.75" customHeight="1">
      <c r="A63" s="7">
        <v>17</v>
      </c>
      <c r="B63" s="48" t="s">
        <v>20</v>
      </c>
      <c r="C63" s="36">
        <f>150+171+147+167+168</f>
        <v>803</v>
      </c>
      <c r="D63" s="36">
        <f>171+177+156+153+180</f>
        <v>837</v>
      </c>
      <c r="E63" s="36">
        <f>204+187+126+178+148</f>
        <v>843</v>
      </c>
      <c r="F63" s="36">
        <f>196+254</f>
        <v>450</v>
      </c>
      <c r="G63" s="36">
        <f>170+198</f>
        <v>368</v>
      </c>
      <c r="H63" s="36">
        <f t="shared" si="1"/>
        <v>3301</v>
      </c>
    </row>
    <row r="64" spans="1:11" ht="12.75" customHeight="1">
      <c r="A64" s="7">
        <v>18</v>
      </c>
      <c r="B64" s="48" t="s">
        <v>19</v>
      </c>
      <c r="C64" s="36">
        <f>145+201+152+192+148</f>
        <v>838</v>
      </c>
      <c r="D64" s="36">
        <f>165+235+144+176+155</f>
        <v>875</v>
      </c>
      <c r="E64" s="36">
        <f>169+155+212+151+155</f>
        <v>842</v>
      </c>
      <c r="F64" s="36">
        <f>153+143</f>
        <v>296</v>
      </c>
      <c r="G64" s="36">
        <f>184+155</f>
        <v>339</v>
      </c>
      <c r="H64" s="36">
        <f t="shared" si="1"/>
        <v>3190</v>
      </c>
      <c r="J64" s="56" t="s">
        <v>21</v>
      </c>
      <c r="K64" s="24"/>
    </row>
    <row r="65" spans="1:8" ht="12.75" customHeight="1">
      <c r="A65" s="7">
        <v>19</v>
      </c>
      <c r="B65" s="48" t="s">
        <v>23</v>
      </c>
      <c r="C65" s="36">
        <f>179+142+175+209+190</f>
        <v>895</v>
      </c>
      <c r="D65" s="36">
        <f>181+132+145+168+124</f>
        <v>750</v>
      </c>
      <c r="E65" s="36">
        <f>192+203+125+210+160</f>
        <v>890</v>
      </c>
      <c r="F65" s="36">
        <f>137+167</f>
        <v>304</v>
      </c>
      <c r="G65" s="36">
        <f>183+164</f>
        <v>347</v>
      </c>
      <c r="H65" s="36">
        <f t="shared" si="1"/>
        <v>3186</v>
      </c>
    </row>
    <row r="66" spans="1:8" ht="12.75" customHeight="1">
      <c r="A66" s="7">
        <v>20</v>
      </c>
      <c r="B66" s="50" t="s">
        <v>40</v>
      </c>
      <c r="C66" s="36">
        <f>193+152+170+104+187</f>
        <v>806</v>
      </c>
      <c r="D66" s="36">
        <f>192+189+186+127+97</f>
        <v>791</v>
      </c>
      <c r="E66" s="36">
        <f>127+222+141+169+146</f>
        <v>805</v>
      </c>
      <c r="F66" s="36">
        <f>170+162</f>
        <v>332</v>
      </c>
      <c r="G66" s="36">
        <f>152+150</f>
        <v>302</v>
      </c>
      <c r="H66" s="36">
        <f t="shared" si="1"/>
        <v>3036</v>
      </c>
    </row>
    <row r="67" spans="1:8" ht="12.75" customHeight="1">
      <c r="A67" s="7">
        <v>21</v>
      </c>
      <c r="B67" s="48" t="s">
        <v>12</v>
      </c>
      <c r="C67" s="36">
        <f>236+144+153+115+222</f>
        <v>870</v>
      </c>
      <c r="D67" s="36">
        <f>161+181+102+170+156</f>
        <v>770</v>
      </c>
      <c r="E67" s="36">
        <f>180+191+78+159+189</f>
        <v>797</v>
      </c>
      <c r="F67" s="36">
        <f>163+147</f>
        <v>310</v>
      </c>
      <c r="G67" s="36">
        <f>122+146</f>
        <v>268</v>
      </c>
      <c r="H67" s="36">
        <f t="shared" si="1"/>
        <v>3015</v>
      </c>
    </row>
    <row r="68" spans="1:8" ht="12.75" customHeight="1">
      <c r="A68" s="11"/>
      <c r="B68" s="13" t="s">
        <v>25</v>
      </c>
      <c r="C68" s="31"/>
      <c r="E68" s="31"/>
      <c r="F68" s="31"/>
      <c r="G68" s="15" t="s">
        <v>28</v>
      </c>
      <c r="H68" s="31"/>
    </row>
    <row r="69" spans="1:8" ht="12.75" customHeight="1">
      <c r="A69" s="11"/>
      <c r="B69" s="31"/>
      <c r="C69" s="31"/>
      <c r="D69" s="31"/>
      <c r="E69" s="31"/>
      <c r="F69" s="31"/>
      <c r="G69" s="21"/>
      <c r="H69" s="31"/>
    </row>
    <row r="70" spans="1:10" ht="12.75" customHeight="1">
      <c r="A70" s="11"/>
      <c r="B70" s="54" t="s">
        <v>47</v>
      </c>
      <c r="C70" t="s">
        <v>49</v>
      </c>
      <c r="E70" s="31">
        <v>300</v>
      </c>
      <c r="F70" s="31"/>
      <c r="G70" s="54" t="s">
        <v>47</v>
      </c>
      <c r="H70" s="31"/>
      <c r="J70">
        <v>819</v>
      </c>
    </row>
    <row r="71" spans="1:10" ht="12.75" customHeight="1">
      <c r="A71" s="11"/>
      <c r="B71" s="54" t="s">
        <v>48</v>
      </c>
      <c r="C71" t="s">
        <v>50</v>
      </c>
      <c r="E71" s="31">
        <v>289</v>
      </c>
      <c r="F71" s="31"/>
      <c r="G71" s="54" t="s">
        <v>48</v>
      </c>
      <c r="H71" s="31"/>
      <c r="J71">
        <v>749</v>
      </c>
    </row>
    <row r="72" spans="1:10" ht="12.75" customHeight="1">
      <c r="A72" s="11"/>
      <c r="B72" s="54" t="s">
        <v>51</v>
      </c>
      <c r="C72" s="31" t="s">
        <v>52</v>
      </c>
      <c r="D72" s="31"/>
      <c r="E72" s="31">
        <v>278</v>
      </c>
      <c r="F72" s="31"/>
      <c r="G72" t="s">
        <v>55</v>
      </c>
      <c r="H72" s="31"/>
      <c r="I72" t="s">
        <v>56</v>
      </c>
      <c r="J72">
        <v>731</v>
      </c>
    </row>
    <row r="73" spans="1:8" ht="12.75" customHeight="1">
      <c r="A73" s="11"/>
      <c r="B73" s="21" t="s">
        <v>53</v>
      </c>
      <c r="C73" s="32" t="s">
        <v>54</v>
      </c>
      <c r="D73" s="31"/>
      <c r="E73" s="32">
        <v>278</v>
      </c>
      <c r="F73" s="31"/>
      <c r="G73" s="21"/>
      <c r="H73" s="31"/>
    </row>
    <row r="74" spans="1:8" ht="12.75" customHeight="1">
      <c r="A74" s="11"/>
      <c r="B74" s="32"/>
      <c r="C74" s="31"/>
      <c r="D74" s="31"/>
      <c r="E74" s="31"/>
      <c r="F74" s="31"/>
      <c r="G74" s="21"/>
      <c r="H74" s="31"/>
    </row>
    <row r="75" spans="1:8" ht="12.75" customHeight="1">
      <c r="A75" s="11"/>
      <c r="B75" s="57" t="s">
        <v>27</v>
      </c>
      <c r="C75" s="57"/>
      <c r="D75" s="57"/>
      <c r="E75" s="57"/>
      <c r="F75" s="57"/>
      <c r="G75" s="57"/>
      <c r="H75" s="57"/>
    </row>
    <row r="76" spans="1:8" ht="12.75" customHeight="1">
      <c r="A76" s="11"/>
      <c r="B76" s="15" t="s">
        <v>1</v>
      </c>
      <c r="C76" s="16" t="s">
        <v>2</v>
      </c>
      <c r="D76" s="16" t="s">
        <v>3</v>
      </c>
      <c r="E76" s="16" t="s">
        <v>4</v>
      </c>
      <c r="F76" s="16" t="s">
        <v>5</v>
      </c>
      <c r="G76" s="16" t="s">
        <v>6</v>
      </c>
      <c r="H76" s="17" t="s">
        <v>7</v>
      </c>
    </row>
    <row r="77" spans="1:11" ht="12.75" customHeight="1">
      <c r="A77" s="7">
        <v>1</v>
      </c>
      <c r="B77" s="36" t="s">
        <v>11</v>
      </c>
      <c r="C77" s="43">
        <f>199+246+190+157+180</f>
        <v>972</v>
      </c>
      <c r="D77" s="36">
        <f>218+192+215+188+236</f>
        <v>1049</v>
      </c>
      <c r="E77" s="36">
        <f>200+188+136+169+139</f>
        <v>832</v>
      </c>
      <c r="F77" s="36">
        <f>194+188</f>
        <v>382</v>
      </c>
      <c r="G77" s="36">
        <f>236+148</f>
        <v>384</v>
      </c>
      <c r="H77" s="36">
        <f aca="true" t="shared" si="2" ref="H77:H82">SUM(C77:G77)</f>
        <v>3619</v>
      </c>
      <c r="K77" s="26" t="s">
        <v>29</v>
      </c>
    </row>
    <row r="78" spans="1:8" ht="12.75" customHeight="1">
      <c r="A78" s="7">
        <v>2</v>
      </c>
      <c r="B78" s="53" t="s">
        <v>21</v>
      </c>
      <c r="C78" s="44">
        <f>151+154+202+186+180</f>
        <v>873</v>
      </c>
      <c r="D78" s="45">
        <f>169+175+193+175+146</f>
        <v>858</v>
      </c>
      <c r="E78" s="36">
        <f>160+138+225+169+149</f>
        <v>841</v>
      </c>
      <c r="F78" s="36">
        <f>210+155</f>
        <v>365</v>
      </c>
      <c r="G78" s="36">
        <f>140+174</f>
        <v>314</v>
      </c>
      <c r="H78" s="36">
        <f t="shared" si="2"/>
        <v>3251</v>
      </c>
    </row>
    <row r="79" spans="1:11" ht="12.75" customHeight="1">
      <c r="A79" s="7">
        <v>3</v>
      </c>
      <c r="B79" s="19" t="s">
        <v>35</v>
      </c>
      <c r="C79" s="21">
        <f>128+225+169+177+161</f>
        <v>860</v>
      </c>
      <c r="D79" s="36">
        <f>92+160+224+141+172</f>
        <v>789</v>
      </c>
      <c r="E79" s="36">
        <f>99+137+181+172+137</f>
        <v>726</v>
      </c>
      <c r="F79" s="36">
        <f>157+115</f>
        <v>272</v>
      </c>
      <c r="G79" s="36">
        <f>217+145</f>
        <v>362</v>
      </c>
      <c r="H79" s="36">
        <f t="shared" si="2"/>
        <v>3009</v>
      </c>
      <c r="J79" s="25" t="s">
        <v>31</v>
      </c>
      <c r="K79" s="23"/>
    </row>
    <row r="80" spans="1:8" ht="12.75" customHeight="1">
      <c r="A80" s="7">
        <v>4</v>
      </c>
      <c r="B80" s="19" t="s">
        <v>45</v>
      </c>
      <c r="C80" s="36">
        <f>191+104+103+173+136</f>
        <v>707</v>
      </c>
      <c r="D80" s="36">
        <f>179+159+161+118+210</f>
        <v>827</v>
      </c>
      <c r="E80" s="36">
        <f>157+111+131+169+133</f>
        <v>701</v>
      </c>
      <c r="F80" s="36">
        <f>173+163</f>
        <v>336</v>
      </c>
      <c r="G80" s="36">
        <f>147+114</f>
        <v>261</v>
      </c>
      <c r="H80" s="36">
        <f t="shared" si="2"/>
        <v>2832</v>
      </c>
    </row>
    <row r="81" spans="1:11" ht="12.75" customHeight="1">
      <c r="A81" s="7">
        <v>5</v>
      </c>
      <c r="B81" s="19" t="s">
        <v>19</v>
      </c>
      <c r="C81" s="36">
        <f>125+125+147+138+158</f>
        <v>693</v>
      </c>
      <c r="D81" s="36">
        <f>119+108+139+132+149</f>
        <v>647</v>
      </c>
      <c r="E81" s="36">
        <f>132+155+115+147+147</f>
        <v>696</v>
      </c>
      <c r="F81" s="36">
        <f>136+106</f>
        <v>242</v>
      </c>
      <c r="G81" s="36">
        <f>129+117</f>
        <v>246</v>
      </c>
      <c r="H81" s="36">
        <f t="shared" si="2"/>
        <v>2524</v>
      </c>
      <c r="J81" s="9"/>
      <c r="K81" s="24" t="s">
        <v>21</v>
      </c>
    </row>
    <row r="82" spans="1:8" ht="12.75" customHeight="1">
      <c r="A82" s="7">
        <v>6</v>
      </c>
      <c r="B82" s="19" t="s">
        <v>23</v>
      </c>
      <c r="C82" s="36">
        <f>140+132+104+107+153</f>
        <v>636</v>
      </c>
      <c r="D82" s="36">
        <f>138+113+83+132+147</f>
        <v>613</v>
      </c>
      <c r="E82" s="36">
        <f>133+150+102+136+155</f>
        <v>676</v>
      </c>
      <c r="F82" s="36">
        <f>138+145</f>
        <v>283</v>
      </c>
      <c r="G82" s="36">
        <f>116+133</f>
        <v>249</v>
      </c>
      <c r="H82" s="36">
        <f t="shared" si="2"/>
        <v>2457</v>
      </c>
    </row>
    <row r="83" spans="1:11" ht="12.75" customHeight="1">
      <c r="A83" s="22"/>
      <c r="B83" s="13" t="s">
        <v>25</v>
      </c>
      <c r="C83" s="21"/>
      <c r="D83" s="21"/>
      <c r="E83" s="21"/>
      <c r="F83" s="13"/>
      <c r="G83" s="15" t="s">
        <v>28</v>
      </c>
      <c r="H83" s="21"/>
      <c r="K83" s="27"/>
    </row>
    <row r="84" spans="1:12" ht="12.75" customHeight="1">
      <c r="A84" s="22"/>
      <c r="B84" s="32"/>
      <c r="C84" s="21"/>
      <c r="D84" s="21"/>
      <c r="E84" s="21"/>
      <c r="F84" s="31"/>
      <c r="G84" s="21"/>
      <c r="H84" s="21"/>
      <c r="I84" s="21"/>
      <c r="J84" s="21"/>
      <c r="K84" s="21"/>
      <c r="L84" s="21"/>
    </row>
    <row r="85" spans="2:7" ht="14.25" customHeight="1">
      <c r="B85" s="32" t="s">
        <v>57</v>
      </c>
      <c r="C85" t="s">
        <v>58</v>
      </c>
      <c r="D85">
        <v>246</v>
      </c>
      <c r="G85">
        <v>626</v>
      </c>
    </row>
    <row r="86" ht="14.25" customHeight="1"/>
  </sheetData>
  <sheetProtection/>
  <mergeCells count="7">
    <mergeCell ref="B75:H75"/>
    <mergeCell ref="B45:H45"/>
    <mergeCell ref="B1:H1"/>
    <mergeCell ref="B2:H2"/>
    <mergeCell ref="B4:H4"/>
    <mergeCell ref="B30:H30"/>
    <mergeCell ref="B44:H44"/>
  </mergeCells>
  <printOptions/>
  <pageMargins left="0.7479166666666667" right="0.5701388888888889" top="0.28" bottom="0.3" header="0.27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cp:lastPrinted>2014-01-21T03:51:51Z</cp:lastPrinted>
  <dcterms:created xsi:type="dcterms:W3CDTF">2010-01-23T04:38:00Z</dcterms:created>
  <dcterms:modified xsi:type="dcterms:W3CDTF">2014-01-21T03:54:23Z</dcterms:modified>
  <cp:category/>
  <cp:version/>
  <cp:contentType/>
  <cp:contentStatus/>
</cp:coreProperties>
</file>